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robibliotld-my.sharepoint.com/personal/dzegeling_probiblio_nl/Documents/Documenten/Vrijwilligersmodel/"/>
    </mc:Choice>
  </mc:AlternateContent>
  <xr:revisionPtr revIDLastSave="117" documentId="8_{E76266B3-3168-4DD6-A8B7-3E4B43C174E1}" xr6:coauthVersionLast="47" xr6:coauthVersionMax="47" xr10:uidLastSave="{8C83F7D9-D937-4EFA-8250-79ECAB5A8085}"/>
  <workbookProtection workbookAlgorithmName="SHA-512" workbookHashValue="GGUobC4LTKOfdXEnfpiVzZB4Zp3qn5BBqg2z89UYx7OjjRC1aKNlt7yzTBVpdaG8Veho27RgMNo7cimV+Fff+g==" workbookSaltValue="QE6oFdlfIbjhojebFGhBOg==" workbookSpinCount="100000" lockStructure="1"/>
  <bookViews>
    <workbookView xWindow="-120" yWindow="-120" windowWidth="29040" windowHeight="15840" xr2:uid="{CB9F2E36-77F7-4BF6-8735-18AEF3760BD4}"/>
  </bookViews>
  <sheets>
    <sheet name="Overview" sheetId="3" r:id="rId1"/>
    <sheet name="Kosten" sheetId="1" r:id="rId2"/>
    <sheet name="Aannames" sheetId="2" r:id="rId3"/>
    <sheet name="Wachtwoord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" i="3" l="1"/>
  <c r="F30" i="1"/>
  <c r="D9" i="1"/>
  <c r="D8" i="1"/>
  <c r="D6" i="3"/>
  <c r="D13" i="2"/>
  <c r="B25" i="2"/>
  <c r="D5" i="3"/>
  <c r="D4" i="3"/>
  <c r="F33" i="1"/>
  <c r="D7" i="1"/>
  <c r="D6" i="1"/>
  <c r="D5" i="1"/>
  <c r="D4" i="1"/>
  <c r="K21" i="2"/>
  <c r="J21" i="2"/>
  <c r="I21" i="2"/>
  <c r="H21" i="2"/>
  <c r="G21" i="2"/>
  <c r="F21" i="2"/>
  <c r="E21" i="2"/>
  <c r="D21" i="2"/>
  <c r="C21" i="2"/>
  <c r="D11" i="1" l="1"/>
  <c r="D7" i="3"/>
  <c r="J30" i="1"/>
  <c r="K13" i="2"/>
  <c r="K14" i="2" s="1"/>
  <c r="J13" i="2"/>
  <c r="J14" i="2" s="1"/>
  <c r="J15" i="2" s="1"/>
  <c r="J17" i="2" s="1"/>
  <c r="I13" i="2"/>
  <c r="I14" i="2" s="1"/>
  <c r="H13" i="2"/>
  <c r="G13" i="2"/>
  <c r="G14" i="2" s="1"/>
  <c r="F13" i="2"/>
  <c r="F14" i="2" s="1"/>
  <c r="E13" i="2"/>
  <c r="E14" i="2" s="1"/>
  <c r="D14" i="2"/>
  <c r="C13" i="2"/>
  <c r="C14" i="2" s="1"/>
  <c r="D11" i="3" l="1"/>
  <c r="J18" i="2"/>
  <c r="J19" i="2" s="1"/>
  <c r="J23" i="2" s="1"/>
  <c r="J25" i="2" s="1"/>
  <c r="I15" i="2"/>
  <c r="I17" i="2" s="1"/>
  <c r="K15" i="2"/>
  <c r="K17" i="2" s="1"/>
  <c r="D15" i="2"/>
  <c r="D17" i="2" s="1"/>
  <c r="H14" i="2"/>
  <c r="H15" i="2" s="1"/>
  <c r="H17" i="2" s="1"/>
  <c r="E15" i="2"/>
  <c r="E17" i="2" s="1"/>
  <c r="F15" i="2"/>
  <c r="F17" i="2" s="1"/>
  <c r="G15" i="2"/>
  <c r="G17" i="2" s="1"/>
  <c r="C15" i="2"/>
  <c r="C17" i="2" s="1"/>
  <c r="H18" i="2" l="1"/>
  <c r="H19" i="2" s="1"/>
  <c r="H23" i="2" s="1"/>
  <c r="H25" i="2" s="1"/>
  <c r="G18" i="2"/>
  <c r="G19" i="2" s="1"/>
  <c r="G23" i="2" s="1"/>
  <c r="G25" i="2" s="1"/>
  <c r="F18" i="2"/>
  <c r="F19" i="2"/>
  <c r="F23" i="2" s="1"/>
  <c r="F25" i="2" s="1"/>
  <c r="E5" i="1" s="1"/>
  <c r="F5" i="1" s="1"/>
  <c r="E18" i="2"/>
  <c r="E19" i="2" s="1"/>
  <c r="E23" i="2" s="1"/>
  <c r="E25" i="2" s="1"/>
  <c r="E8" i="1" s="1"/>
  <c r="F8" i="1" s="1"/>
  <c r="D18" i="2"/>
  <c r="D19" i="2" s="1"/>
  <c r="D23" i="2" s="1"/>
  <c r="D25" i="2" s="1"/>
  <c r="K18" i="2"/>
  <c r="K19" i="2"/>
  <c r="K23" i="2" s="1"/>
  <c r="K25" i="2" s="1"/>
  <c r="E9" i="1" s="1"/>
  <c r="F9" i="1" s="1"/>
  <c r="I18" i="2"/>
  <c r="I19" i="2" s="1"/>
  <c r="I23" i="2" s="1"/>
  <c r="I25" i="2" s="1"/>
  <c r="C18" i="2"/>
  <c r="C19" i="2" s="1"/>
  <c r="C23" i="2" s="1"/>
  <c r="C25" i="2" s="1"/>
  <c r="E6" i="1" l="1"/>
  <c r="F6" i="1" s="1"/>
  <c r="E7" i="1"/>
  <c r="F7" i="1" s="1"/>
  <c r="E4" i="1"/>
  <c r="F4" i="1" s="1"/>
  <c r="F11" i="1" s="1"/>
  <c r="F32" i="1" s="1"/>
  <c r="G11" i="3"/>
  <c r="J11" i="1" l="1"/>
  <c r="G2" i="3"/>
  <c r="F35" i="1"/>
  <c r="D8" i="3" l="1"/>
  <c r="G12" i="3"/>
</calcChain>
</file>

<file path=xl/sharedStrings.xml><?xml version="1.0" encoding="utf-8"?>
<sst xmlns="http://schemas.openxmlformats.org/spreadsheetml/2006/main" count="87" uniqueCount="74">
  <si>
    <t>De totale kosten van de vrijwilligersorganisatie bedragen:</t>
  </si>
  <si>
    <t>Hiervoor werken</t>
  </si>
  <si>
    <t>vrijwilligers</t>
  </si>
  <si>
    <t xml:space="preserve">gemiddeld </t>
  </si>
  <si>
    <t>uur per week</t>
  </si>
  <si>
    <t>gedurende</t>
  </si>
  <si>
    <t>maanden per jaar</t>
  </si>
  <si>
    <t xml:space="preserve">met een totaal van </t>
  </si>
  <si>
    <t>uur.</t>
  </si>
  <si>
    <t>Dus een uurtarief van</t>
  </si>
  <si>
    <t>Zou je deze workload betaald laten uitvoeren door een mederweker in schaal</t>
  </si>
  <si>
    <t xml:space="preserve">dan hebben we het over </t>
  </si>
  <si>
    <t>FTE, oftwel</t>
  </si>
  <si>
    <t>en dus een besparing van</t>
  </si>
  <si>
    <t>Met andere woorden, wanneer je het werk door betaalde krachten laat uitvoeren dan wordt het</t>
  </si>
  <si>
    <t>keer zo duur.</t>
  </si>
  <si>
    <t>Kosten Begeleiding</t>
  </si>
  <si>
    <t>Functie</t>
  </si>
  <si>
    <t>Schaal</t>
  </si>
  <si>
    <t>Uren per Week</t>
  </si>
  <si>
    <t>Uren per Jaar</t>
  </si>
  <si>
    <t>Uurtarief</t>
  </si>
  <si>
    <t>Jaarlijks</t>
  </si>
  <si>
    <t>Taken</t>
  </si>
  <si>
    <t>Medewerker</t>
  </si>
  <si>
    <t>begeleiden vrijwilligers op de werkvloer, aandacht geven</t>
  </si>
  <si>
    <t>Coördinatie</t>
  </si>
  <si>
    <t>coördinatie operationele uitvoering, werving en selectie vw, begeleiding vw, roostering, overleg, gesprekken, lief en leed</t>
  </si>
  <si>
    <t>aansturing coördinator, uitvoering en bijstelling beleid, bespreken onderwerp vrijwilligers in werkoverleg, oplossen vraagstukken, aanwezig bij overleggen of feestelijke bijeenkomsten</t>
  </si>
  <si>
    <t>Communicatie</t>
  </si>
  <si>
    <t>opstellen vacatures vw, nieuwsbrief, interne communicatie</t>
  </si>
  <si>
    <t>verwerken gegevens in administratie, opstellen contract, verwerken financiële administratie, roosteren, aanvragen opleidingen</t>
  </si>
  <si>
    <t>Directie</t>
  </si>
  <si>
    <t>strategisch vrijwilligersbeleid, bespreken onderwerp vrijwilligers in MT/DT overleg, vrijwilligersmedezeggenschap, aanwezig bij overleggen of feestelijke bijeenkomsten</t>
  </si>
  <si>
    <t>Totalen Begeleiding</t>
  </si>
  <si>
    <t>Per Vrijwilliger</t>
  </si>
  <si>
    <t xml:space="preserve">Algemene Kosten Vrijwilligers </t>
  </si>
  <si>
    <t>Vrijwilligersbijeenkomst/feest of uitje</t>
  </si>
  <si>
    <t>Jaarlijks presentje om waardering mee uit te drukken</t>
  </si>
  <si>
    <t>Facilitair (koffie, thee, wc)</t>
  </si>
  <si>
    <t>Beveiliging en toegang gebouw</t>
  </si>
  <si>
    <t>Vrijwilligersvergoeding</t>
  </si>
  <si>
    <t>Rooster/registratieprogramma</t>
  </si>
  <si>
    <t>Declaraties (reis- en onkosten)</t>
  </si>
  <si>
    <t>Opleidingen</t>
  </si>
  <si>
    <t>Bibliotheekabonnement en pas</t>
  </si>
  <si>
    <t>Bedrijfskleding</t>
  </si>
  <si>
    <t>Informatiemap/benodigdheden om werk uit te kunnen voeren</t>
  </si>
  <si>
    <t>Kosten werkplekken</t>
  </si>
  <si>
    <t>Vrijwilligerscommissie</t>
  </si>
  <si>
    <t>Totaal Algemene Kosten</t>
  </si>
  <si>
    <t>Totale Jaarlijske Kosten Vrijwilligers</t>
  </si>
  <si>
    <t>Aantal Vrijwilligers</t>
  </si>
  <si>
    <t>Jaarlijkse Kosten per Vrijwilliger</t>
  </si>
  <si>
    <t xml:space="preserve">Een vrijwilliger werkt gemiddeld </t>
  </si>
  <si>
    <t xml:space="preserve">1 FTE omvat </t>
  </si>
  <si>
    <t>werkbare uren (zie art.37 van de CAO)</t>
  </si>
  <si>
    <t>Uurtarieven</t>
  </si>
  <si>
    <t>Administatie</t>
  </si>
  <si>
    <t>Coördinator</t>
  </si>
  <si>
    <t>Manager</t>
  </si>
  <si>
    <t>Bruto Maandsalaris (midden v/d schaal)</t>
  </si>
  <si>
    <t>Vakantietoeslag</t>
  </si>
  <si>
    <t>Endejaarsuitkering</t>
  </si>
  <si>
    <t>Totalen Bruto per Maand</t>
  </si>
  <si>
    <t>Totalen Bruto per Jaar</t>
  </si>
  <si>
    <t>Werkgeverslasten</t>
  </si>
  <si>
    <t>Totale Loonsom</t>
  </si>
  <si>
    <t>Toerekening Overhead (werkplek, HR etc)</t>
  </si>
  <si>
    <t>Totale Jaarlijkse Kosten Functionaris</t>
  </si>
  <si>
    <t>V0lunt33r</t>
  </si>
  <si>
    <t>HR</t>
  </si>
  <si>
    <t>Lief en leed (welkomstcadeau, bloemen bij afscheid)</t>
  </si>
  <si>
    <t>Tevredenheidsonderzoek vrijwilligers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</si>
</sst>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 applyAlignment="1">
      <alignment horizontal="right"/>
    </xf>
    <xf numFmtId="3" fontId="0" fillId="0" borderId="0" xfId="0" applyNumberFormat="1"/>
    <xf numFmtId="164" fontId="0" fillId="0" borderId="0" xfId="0" applyNumberFormat="1"/>
    <xf numFmtId="0" fontId="0" fillId="2" borderId="0" xfId="0" applyFill="1" applyProtection="1">
      <protection locked="0"/>
    </xf>
    <xf numFmtId="0" fontId="0" fillId="2" borderId="0" xfId="0" applyFill="1"/>
    <xf numFmtId="4" fontId="0" fillId="2" borderId="0" xfId="0" applyNumberFormat="1" applyFill="1" applyProtection="1">
      <protection locked="0"/>
    </xf>
    <xf numFmtId="9" fontId="0" fillId="2" borderId="0" xfId="0" applyNumberFormat="1" applyFill="1" applyProtection="1">
      <protection locked="0"/>
    </xf>
    <xf numFmtId="0" fontId="0" fillId="2" borderId="0" xfId="0" applyFill="1" applyProtection="1">
      <protection locked="0"/>
    </xf>
    <xf numFmtId="0" fontId="0" fillId="2" borderId="0" xfId="0" applyFill="1"/>
    <xf numFmtId="0" fontId="0" fillId="0" borderId="0" xfId="0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68524-B115-49E4-887B-F68851605F6F}">
  <dimension ref="A2:L14"/>
  <sheetViews>
    <sheetView tabSelected="1" workbookViewId="0">
      <selection activeCell="K14" sqref="K14"/>
    </sheetView>
  </sheetViews>
  <sheetFormatPr defaultRowHeight="15" x14ac:dyDescent="0.25"/>
  <cols>
    <col min="7" max="7" width="13.28515625" bestFit="1" customWidth="1"/>
  </cols>
  <sheetData>
    <row r="2" spans="1:12" x14ac:dyDescent="0.25">
      <c r="A2" t="s">
        <v>0</v>
      </c>
      <c r="G2" s="7">
        <f>+Kosten!F32</f>
        <v>0</v>
      </c>
    </row>
    <row r="3" spans="1:12" x14ac:dyDescent="0.25">
      <c r="G3" s="3"/>
    </row>
    <row r="4" spans="1:12" x14ac:dyDescent="0.25">
      <c r="A4" t="s">
        <v>1</v>
      </c>
      <c r="D4">
        <f>+Aannames!C1</f>
        <v>1</v>
      </c>
      <c r="E4" t="s">
        <v>2</v>
      </c>
    </row>
    <row r="5" spans="1:12" x14ac:dyDescent="0.25">
      <c r="A5" t="s">
        <v>3</v>
      </c>
      <c r="D5">
        <f>Aannames!C2</f>
        <v>1</v>
      </c>
      <c r="E5" t="s">
        <v>4</v>
      </c>
    </row>
    <row r="6" spans="1:12" x14ac:dyDescent="0.25">
      <c r="A6" t="s">
        <v>5</v>
      </c>
      <c r="D6">
        <f>Aannames!C3</f>
        <v>1</v>
      </c>
      <c r="E6" t="s">
        <v>6</v>
      </c>
    </row>
    <row r="7" spans="1:12" x14ac:dyDescent="0.25">
      <c r="A7" t="s">
        <v>7</v>
      </c>
      <c r="D7" s="6">
        <f>D4*D5*52/12*D6</f>
        <v>4.333333333333333</v>
      </c>
      <c r="E7" t="s">
        <v>8</v>
      </c>
    </row>
    <row r="8" spans="1:12" x14ac:dyDescent="0.25">
      <c r="A8" t="s">
        <v>9</v>
      </c>
      <c r="D8" s="7">
        <f>G2/D7</f>
        <v>0</v>
      </c>
    </row>
    <row r="10" spans="1:12" x14ac:dyDescent="0.25">
      <c r="A10" t="s">
        <v>10</v>
      </c>
      <c r="I10" s="8">
        <v>6</v>
      </c>
    </row>
    <row r="11" spans="1:12" x14ac:dyDescent="0.25">
      <c r="A11" t="s">
        <v>11</v>
      </c>
      <c r="C11" s="6"/>
      <c r="D11" s="3">
        <f>D7/Aannames!C5</f>
        <v>2.627855265817667E-3</v>
      </c>
      <c r="E11" t="s">
        <v>12</v>
      </c>
      <c r="G11" s="7">
        <f>D7*HLOOKUP(I10,Aannames!C10:K25,16,0)</f>
        <v>134.98466386901148</v>
      </c>
    </row>
    <row r="12" spans="1:12" x14ac:dyDescent="0.25">
      <c r="A12" t="s">
        <v>13</v>
      </c>
      <c r="G12" s="7">
        <f>+G11-G2</f>
        <v>134.98466386901148</v>
      </c>
    </row>
    <row r="14" spans="1:12" x14ac:dyDescent="0.25">
      <c r="A14" t="s">
        <v>14</v>
      </c>
      <c r="K14" s="6">
        <f>IF(G2&gt;0,ROUND(G11/G2,0),0)</f>
        <v>0</v>
      </c>
      <c r="L14" t="s">
        <v>15</v>
      </c>
    </row>
  </sheetData>
  <sheetProtection algorithmName="SHA-512" hashValue="jXI8xysmHjqvU4yAPsFhbIF5bGGLGzyEyjShZCEYCZtg+lRX8hWaHL/gj/ipPk7Cv/QSxeBbFI6Bz7ZKtuJBsA==" saltValue="Z47kIqueaCHYzFzAQZfWqw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B60C4-C528-4604-B3EB-752C16AA9085}">
  <dimension ref="A1:X35"/>
  <sheetViews>
    <sheetView topLeftCell="A10" workbookViewId="0">
      <selection activeCell="F14" sqref="F14"/>
    </sheetView>
  </sheetViews>
  <sheetFormatPr defaultRowHeight="15" x14ac:dyDescent="0.25"/>
  <cols>
    <col min="1" max="1" width="14" bestFit="1" customWidth="1"/>
    <col min="3" max="3" width="14.42578125" bestFit="1" customWidth="1"/>
    <col min="4" max="4" width="12.5703125" bestFit="1" customWidth="1"/>
    <col min="5" max="5" width="11.7109375" bestFit="1" customWidth="1"/>
    <col min="6" max="6" width="15.28515625" customWidth="1"/>
  </cols>
  <sheetData>
    <row r="1" spans="1:24" x14ac:dyDescent="0.25">
      <c r="A1" s="1" t="s">
        <v>16</v>
      </c>
    </row>
    <row r="3" spans="1:24" s="1" customFormat="1" x14ac:dyDescent="0.25">
      <c r="A3" s="1" t="s">
        <v>17</v>
      </c>
      <c r="B3" s="5" t="s">
        <v>18</v>
      </c>
      <c r="C3" s="5" t="s">
        <v>19</v>
      </c>
      <c r="D3" s="5" t="s">
        <v>20</v>
      </c>
      <c r="E3" s="5" t="s">
        <v>21</v>
      </c>
      <c r="F3" s="5" t="s">
        <v>22</v>
      </c>
      <c r="G3" s="1" t="s">
        <v>23</v>
      </c>
    </row>
    <row r="4" spans="1:24" x14ac:dyDescent="0.25">
      <c r="A4" s="9" t="s">
        <v>24</v>
      </c>
      <c r="B4" s="8">
        <v>6</v>
      </c>
      <c r="C4" s="8"/>
      <c r="D4">
        <f t="shared" ref="D4:D9" si="0">C4*52</f>
        <v>0</v>
      </c>
      <c r="E4" s="3">
        <f>HLOOKUP($B4,Aannames!$C$10:$K$25,16,0)</f>
        <v>31.150307046694962</v>
      </c>
      <c r="F4" s="3">
        <f t="shared" ref="F4:F9" si="1">E4*D4</f>
        <v>0</v>
      </c>
      <c r="G4" s="13" t="s">
        <v>25</v>
      </c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</row>
    <row r="5" spans="1:24" x14ac:dyDescent="0.25">
      <c r="A5" s="9" t="s">
        <v>26</v>
      </c>
      <c r="B5" s="8">
        <v>8</v>
      </c>
      <c r="C5" s="8"/>
      <c r="D5">
        <f t="shared" si="0"/>
        <v>0</v>
      </c>
      <c r="E5" s="3">
        <f>HLOOKUP($B5,Aannames!$C$10:$K$25,16,0)</f>
        <v>39.326848853850812</v>
      </c>
      <c r="F5" s="3">
        <f t="shared" si="1"/>
        <v>0</v>
      </c>
      <c r="G5" s="13" t="s">
        <v>27</v>
      </c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</row>
    <row r="6" spans="1:24" x14ac:dyDescent="0.25">
      <c r="A6" s="9" t="s">
        <v>71</v>
      </c>
      <c r="B6" s="8">
        <v>7</v>
      </c>
      <c r="C6" s="8"/>
      <c r="D6">
        <f t="shared" si="0"/>
        <v>0</v>
      </c>
      <c r="E6" s="3">
        <f>HLOOKUP($B6,Aannames!$C$10:$K$25,16,0)</f>
        <v>34.361337634930258</v>
      </c>
      <c r="F6" s="3">
        <f t="shared" si="1"/>
        <v>0</v>
      </c>
      <c r="G6" s="13" t="s">
        <v>28</v>
      </c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</row>
    <row r="7" spans="1:24" x14ac:dyDescent="0.25">
      <c r="A7" s="9" t="s">
        <v>29</v>
      </c>
      <c r="B7" s="8">
        <v>7</v>
      </c>
      <c r="C7" s="8"/>
      <c r="D7">
        <f t="shared" si="0"/>
        <v>0</v>
      </c>
      <c r="E7" s="3">
        <f>HLOOKUP($B7,Aannames!$C$10:$K$25,16,0)</f>
        <v>34.361337634930258</v>
      </c>
      <c r="F7" s="3">
        <f t="shared" si="1"/>
        <v>0</v>
      </c>
      <c r="G7" s="13" t="s">
        <v>30</v>
      </c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</row>
    <row r="8" spans="1:24" x14ac:dyDescent="0.25">
      <c r="A8" s="9" t="s">
        <v>60</v>
      </c>
      <c r="B8" s="8">
        <v>10</v>
      </c>
      <c r="C8" s="10"/>
      <c r="D8">
        <f t="shared" si="0"/>
        <v>0</v>
      </c>
      <c r="E8" s="3">
        <f>HLOOKUP($B8,Aannames!$C$10:$K$25,16,0)</f>
        <v>49.114423189812008</v>
      </c>
      <c r="F8" s="3">
        <f t="shared" si="1"/>
        <v>0</v>
      </c>
      <c r="G8" s="13" t="s">
        <v>31</v>
      </c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</row>
    <row r="9" spans="1:24" x14ac:dyDescent="0.25">
      <c r="A9" s="9" t="s">
        <v>32</v>
      </c>
      <c r="B9" s="8">
        <v>13</v>
      </c>
      <c r="C9" s="10"/>
      <c r="D9">
        <f t="shared" si="0"/>
        <v>0</v>
      </c>
      <c r="E9" s="3">
        <f>HLOOKUP($B9,Aannames!$C$10:$K$25,16,0)</f>
        <v>72.551636143117037</v>
      </c>
      <c r="F9" s="3">
        <f t="shared" si="1"/>
        <v>0</v>
      </c>
      <c r="G9" s="13" t="s">
        <v>33</v>
      </c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</row>
    <row r="11" spans="1:24" x14ac:dyDescent="0.25">
      <c r="A11" s="1" t="s">
        <v>34</v>
      </c>
      <c r="D11" s="1">
        <f>SUM(D4:D10)</f>
        <v>0</v>
      </c>
      <c r="F11" s="4">
        <f>SUM(F4:F10)</f>
        <v>0</v>
      </c>
      <c r="H11" t="s">
        <v>35</v>
      </c>
      <c r="J11" s="3">
        <f>F11/Aannames!$C$1</f>
        <v>0</v>
      </c>
    </row>
    <row r="14" spans="1:24" x14ac:dyDescent="0.25">
      <c r="A14" s="1" t="s">
        <v>36</v>
      </c>
      <c r="F14" s="5" t="s">
        <v>22</v>
      </c>
    </row>
    <row r="15" spans="1:24" x14ac:dyDescent="0.25">
      <c r="A15" s="12" t="s">
        <v>72</v>
      </c>
      <c r="B15" s="13"/>
      <c r="C15" s="13"/>
      <c r="D15" s="13"/>
      <c r="E15" s="13"/>
      <c r="F15" s="10"/>
    </row>
    <row r="16" spans="1:24" x14ac:dyDescent="0.25">
      <c r="A16" s="12" t="s">
        <v>37</v>
      </c>
      <c r="B16" s="13"/>
      <c r="C16" s="13"/>
      <c r="D16" s="13"/>
      <c r="E16" s="13"/>
      <c r="F16" s="10"/>
    </row>
    <row r="17" spans="1:10" x14ac:dyDescent="0.25">
      <c r="A17" s="12" t="s">
        <v>38</v>
      </c>
      <c r="B17" s="13"/>
      <c r="C17" s="13"/>
      <c r="D17" s="13"/>
      <c r="E17" s="13"/>
      <c r="F17" s="10"/>
    </row>
    <row r="18" spans="1:10" x14ac:dyDescent="0.25">
      <c r="A18" s="12" t="s">
        <v>39</v>
      </c>
      <c r="B18" s="13"/>
      <c r="C18" s="13"/>
      <c r="D18" s="13"/>
      <c r="E18" s="13"/>
      <c r="F18" s="10"/>
    </row>
    <row r="19" spans="1:10" x14ac:dyDescent="0.25">
      <c r="A19" s="12" t="s">
        <v>73</v>
      </c>
      <c r="B19" s="13"/>
      <c r="C19" s="13"/>
      <c r="D19" s="13"/>
      <c r="E19" s="13"/>
      <c r="F19" s="10"/>
    </row>
    <row r="20" spans="1:10" x14ac:dyDescent="0.25">
      <c r="A20" s="12" t="s">
        <v>40</v>
      </c>
      <c r="B20" s="13"/>
      <c r="C20" s="13"/>
      <c r="D20" s="13"/>
      <c r="E20" s="13"/>
      <c r="F20" s="10"/>
    </row>
    <row r="21" spans="1:10" x14ac:dyDescent="0.25">
      <c r="A21" s="12" t="s">
        <v>41</v>
      </c>
      <c r="B21" s="13"/>
      <c r="C21" s="13"/>
      <c r="D21" s="13"/>
      <c r="E21" s="13"/>
      <c r="F21" s="10"/>
    </row>
    <row r="22" spans="1:10" x14ac:dyDescent="0.25">
      <c r="A22" s="12" t="s">
        <v>42</v>
      </c>
      <c r="B22" s="13"/>
      <c r="C22" s="13"/>
      <c r="D22" s="13"/>
      <c r="E22" s="13"/>
      <c r="F22" s="10"/>
    </row>
    <row r="23" spans="1:10" x14ac:dyDescent="0.25">
      <c r="A23" s="12" t="s">
        <v>43</v>
      </c>
      <c r="B23" s="13"/>
      <c r="C23" s="13"/>
      <c r="D23" s="13"/>
      <c r="E23" s="13"/>
      <c r="F23" s="10"/>
    </row>
    <row r="24" spans="1:10" x14ac:dyDescent="0.25">
      <c r="A24" s="12" t="s">
        <v>44</v>
      </c>
      <c r="B24" s="13"/>
      <c r="C24" s="13"/>
      <c r="D24" s="13"/>
      <c r="E24" s="13"/>
      <c r="F24" s="10"/>
    </row>
    <row r="25" spans="1:10" x14ac:dyDescent="0.25">
      <c r="A25" s="12" t="s">
        <v>45</v>
      </c>
      <c r="B25" s="13"/>
      <c r="C25" s="13"/>
      <c r="D25" s="13"/>
      <c r="E25" s="13"/>
      <c r="F25" s="10"/>
    </row>
    <row r="26" spans="1:10" x14ac:dyDescent="0.25">
      <c r="A26" s="12" t="s">
        <v>46</v>
      </c>
      <c r="B26" s="13"/>
      <c r="C26" s="13"/>
      <c r="D26" s="13"/>
      <c r="E26" s="13"/>
      <c r="F26" s="10"/>
    </row>
    <row r="27" spans="1:10" x14ac:dyDescent="0.25">
      <c r="A27" s="12" t="s">
        <v>47</v>
      </c>
      <c r="B27" s="13"/>
      <c r="C27" s="13"/>
      <c r="D27" s="13"/>
      <c r="E27" s="13"/>
      <c r="F27" s="10"/>
    </row>
    <row r="28" spans="1:10" x14ac:dyDescent="0.25">
      <c r="A28" s="12" t="s">
        <v>48</v>
      </c>
      <c r="B28" s="13"/>
      <c r="C28" s="13"/>
      <c r="D28" s="13"/>
      <c r="E28" s="13"/>
      <c r="F28" s="10"/>
    </row>
    <row r="29" spans="1:10" x14ac:dyDescent="0.25">
      <c r="A29" s="12" t="s">
        <v>49</v>
      </c>
      <c r="B29" s="13"/>
      <c r="C29" s="13"/>
      <c r="D29" s="13"/>
      <c r="E29" s="13"/>
      <c r="F29" s="10"/>
    </row>
    <row r="30" spans="1:10" x14ac:dyDescent="0.25">
      <c r="A30" s="1" t="s">
        <v>50</v>
      </c>
      <c r="B30" s="1"/>
      <c r="C30" s="1"/>
      <c r="D30" s="1"/>
      <c r="E30" s="1"/>
      <c r="F30" s="4">
        <f>SUM(F15:F29)</f>
        <v>0</v>
      </c>
      <c r="H30" t="s">
        <v>35</v>
      </c>
      <c r="J30" s="3">
        <f>F30/Aannames!$C$1</f>
        <v>0</v>
      </c>
    </row>
    <row r="31" spans="1:10" x14ac:dyDescent="0.25">
      <c r="F31" s="3"/>
    </row>
    <row r="32" spans="1:10" s="1" customFormat="1" x14ac:dyDescent="0.25">
      <c r="A32" s="1" t="s">
        <v>51</v>
      </c>
      <c r="F32" s="4">
        <f>+F11+F30</f>
        <v>0</v>
      </c>
      <c r="H32"/>
      <c r="I32"/>
      <c r="J32" s="3"/>
    </row>
    <row r="33" spans="1:6" x14ac:dyDescent="0.25">
      <c r="A33" t="s">
        <v>52</v>
      </c>
      <c r="F33">
        <f>Aannames!C1</f>
        <v>1</v>
      </c>
    </row>
    <row r="35" spans="1:6" x14ac:dyDescent="0.25">
      <c r="A35" s="1" t="s">
        <v>53</v>
      </c>
      <c r="B35" s="1"/>
      <c r="C35" s="1"/>
      <c r="D35" s="1"/>
      <c r="E35" s="1"/>
      <c r="F35" s="4">
        <f>F32/F33</f>
        <v>0</v>
      </c>
    </row>
  </sheetData>
  <mergeCells count="21">
    <mergeCell ref="A16:E16"/>
    <mergeCell ref="A17:E17"/>
    <mergeCell ref="A18:E18"/>
    <mergeCell ref="A19:E19"/>
    <mergeCell ref="A20:E20"/>
    <mergeCell ref="A27:E27"/>
    <mergeCell ref="A28:E28"/>
    <mergeCell ref="A29:E29"/>
    <mergeCell ref="G4:X4"/>
    <mergeCell ref="G5:X5"/>
    <mergeCell ref="G6:X6"/>
    <mergeCell ref="G7:X7"/>
    <mergeCell ref="G8:X8"/>
    <mergeCell ref="G9:X9"/>
    <mergeCell ref="A21:E21"/>
    <mergeCell ref="A22:E22"/>
    <mergeCell ref="A23:E23"/>
    <mergeCell ref="A24:E24"/>
    <mergeCell ref="A25:E25"/>
    <mergeCell ref="A26:E26"/>
    <mergeCell ref="A15:E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CF197-CD06-4B74-872B-3ED94480ADF9}">
  <dimension ref="A1:K25"/>
  <sheetViews>
    <sheetView workbookViewId="0">
      <selection activeCell="C6" sqref="C6"/>
    </sheetView>
  </sheetViews>
  <sheetFormatPr defaultRowHeight="15" x14ac:dyDescent="0.25"/>
  <cols>
    <col min="1" max="1" width="39" bestFit="1" customWidth="1"/>
    <col min="2" max="2" width="8.140625" bestFit="1" customWidth="1"/>
    <col min="3" max="11" width="14" bestFit="1" customWidth="1"/>
  </cols>
  <sheetData>
    <row r="1" spans="1:11" x14ac:dyDescent="0.25">
      <c r="A1" s="1" t="s">
        <v>52</v>
      </c>
      <c r="B1" s="1"/>
      <c r="C1" s="8">
        <v>1</v>
      </c>
    </row>
    <row r="2" spans="1:11" x14ac:dyDescent="0.25">
      <c r="A2" t="s">
        <v>54</v>
      </c>
      <c r="C2" s="8">
        <v>1</v>
      </c>
      <c r="D2" t="s">
        <v>4</v>
      </c>
    </row>
    <row r="3" spans="1:11" x14ac:dyDescent="0.25">
      <c r="A3" t="s">
        <v>5</v>
      </c>
      <c r="C3" s="8">
        <v>1</v>
      </c>
      <c r="D3" t="s">
        <v>6</v>
      </c>
    </row>
    <row r="5" spans="1:11" x14ac:dyDescent="0.25">
      <c r="A5" t="s">
        <v>55</v>
      </c>
      <c r="C5" s="8">
        <v>1649</v>
      </c>
      <c r="D5" t="s">
        <v>56</v>
      </c>
    </row>
    <row r="7" spans="1:11" x14ac:dyDescent="0.25">
      <c r="A7" s="1" t="s">
        <v>57</v>
      </c>
      <c r="B7" s="1"/>
    </row>
    <row r="9" spans="1:11" x14ac:dyDescent="0.25">
      <c r="A9" t="s">
        <v>17</v>
      </c>
      <c r="C9" s="2"/>
      <c r="D9" s="2" t="s">
        <v>24</v>
      </c>
      <c r="E9" s="2" t="s">
        <v>58</v>
      </c>
      <c r="F9" s="2" t="s">
        <v>59</v>
      </c>
      <c r="G9" s="2" t="s">
        <v>29</v>
      </c>
      <c r="H9" s="2" t="s">
        <v>60</v>
      </c>
      <c r="I9" s="2"/>
      <c r="J9" s="2"/>
      <c r="K9" s="2" t="s">
        <v>32</v>
      </c>
    </row>
    <row r="10" spans="1:11" x14ac:dyDescent="0.25">
      <c r="A10" t="s">
        <v>18</v>
      </c>
      <c r="C10">
        <v>5</v>
      </c>
      <c r="D10">
        <v>6</v>
      </c>
      <c r="E10">
        <v>7</v>
      </c>
      <c r="F10">
        <v>8</v>
      </c>
      <c r="G10">
        <v>9</v>
      </c>
      <c r="H10">
        <v>10</v>
      </c>
      <c r="I10">
        <v>11</v>
      </c>
      <c r="J10">
        <v>12</v>
      </c>
      <c r="K10">
        <v>13</v>
      </c>
    </row>
    <row r="12" spans="1:11" x14ac:dyDescent="0.25">
      <c r="A12" t="s">
        <v>61</v>
      </c>
      <c r="C12" s="10">
        <v>2607</v>
      </c>
      <c r="D12" s="10">
        <v>2823</v>
      </c>
      <c r="E12" s="10">
        <v>3114</v>
      </c>
      <c r="F12" s="10">
        <v>3564</v>
      </c>
      <c r="G12" s="10">
        <v>3980</v>
      </c>
      <c r="H12" s="10">
        <v>4451</v>
      </c>
      <c r="I12" s="10">
        <v>5121</v>
      </c>
      <c r="J12" s="10">
        <v>6075</v>
      </c>
      <c r="K12" s="10">
        <v>6575</v>
      </c>
    </row>
    <row r="13" spans="1:11" x14ac:dyDescent="0.25">
      <c r="A13" t="s">
        <v>62</v>
      </c>
      <c r="B13" s="11">
        <v>0.08</v>
      </c>
      <c r="C13">
        <f>C12*$B13</f>
        <v>208.56</v>
      </c>
      <c r="D13">
        <f t="shared" ref="D13:K13" si="0">D12*$B13</f>
        <v>225.84</v>
      </c>
      <c r="E13">
        <f t="shared" si="0"/>
        <v>249.12</v>
      </c>
      <c r="F13">
        <f t="shared" si="0"/>
        <v>285.12</v>
      </c>
      <c r="G13">
        <f t="shared" si="0"/>
        <v>318.40000000000003</v>
      </c>
      <c r="H13">
        <f t="shared" si="0"/>
        <v>356.08</v>
      </c>
      <c r="I13">
        <f t="shared" si="0"/>
        <v>409.68</v>
      </c>
      <c r="J13">
        <f t="shared" si="0"/>
        <v>486</v>
      </c>
      <c r="K13">
        <f t="shared" si="0"/>
        <v>526</v>
      </c>
    </row>
    <row r="14" spans="1:11" x14ac:dyDescent="0.25">
      <c r="A14" t="s">
        <v>63</v>
      </c>
      <c r="B14" s="11">
        <v>0.04</v>
      </c>
      <c r="C14" s="3">
        <f>SUM(C12:C13)*$B14</f>
        <v>112.6224</v>
      </c>
      <c r="D14" s="3">
        <f t="shared" ref="D14:K14" si="1">SUM(D12:D13)*$B14</f>
        <v>121.95360000000001</v>
      </c>
      <c r="E14" s="3">
        <f t="shared" si="1"/>
        <v>134.5248</v>
      </c>
      <c r="F14" s="3">
        <f t="shared" si="1"/>
        <v>153.9648</v>
      </c>
      <c r="G14" s="3">
        <f t="shared" si="1"/>
        <v>171.93599999999998</v>
      </c>
      <c r="H14" s="3">
        <f t="shared" si="1"/>
        <v>192.28319999999999</v>
      </c>
      <c r="I14" s="3">
        <f t="shared" si="1"/>
        <v>221.22720000000001</v>
      </c>
      <c r="J14" s="3">
        <f t="shared" si="1"/>
        <v>262.44</v>
      </c>
      <c r="K14" s="3">
        <f t="shared" si="1"/>
        <v>284.04000000000002</v>
      </c>
    </row>
    <row r="15" spans="1:11" s="1" customFormat="1" x14ac:dyDescent="0.25">
      <c r="A15" s="1" t="s">
        <v>64</v>
      </c>
      <c r="C15" s="4">
        <f>SUM(C12:C14)</f>
        <v>2928.1824000000001</v>
      </c>
      <c r="D15" s="4">
        <f t="shared" ref="D15:K15" si="2">SUM(D12:D14)</f>
        <v>3170.7936</v>
      </c>
      <c r="E15" s="4">
        <f t="shared" si="2"/>
        <v>3497.6448</v>
      </c>
      <c r="F15" s="4">
        <f t="shared" si="2"/>
        <v>4003.0848000000001</v>
      </c>
      <c r="G15" s="4">
        <f t="shared" si="2"/>
        <v>4470.3359999999993</v>
      </c>
      <c r="H15" s="4">
        <f t="shared" si="2"/>
        <v>4999.3631999999998</v>
      </c>
      <c r="I15" s="4">
        <f t="shared" si="2"/>
        <v>5751.9072000000006</v>
      </c>
      <c r="J15" s="4">
        <f t="shared" si="2"/>
        <v>6823.44</v>
      </c>
      <c r="K15" s="4">
        <f t="shared" si="2"/>
        <v>7385.04</v>
      </c>
    </row>
    <row r="17" spans="1:11" x14ac:dyDescent="0.25">
      <c r="A17" t="s">
        <v>65</v>
      </c>
      <c r="C17" s="3">
        <f>C15*12</f>
        <v>35138.188800000004</v>
      </c>
      <c r="D17" s="3">
        <f t="shared" ref="D17:K17" si="3">D15*12</f>
        <v>38049.523199999996</v>
      </c>
      <c r="E17" s="3">
        <f t="shared" si="3"/>
        <v>41971.7376</v>
      </c>
      <c r="F17" s="3">
        <f t="shared" si="3"/>
        <v>48037.017599999999</v>
      </c>
      <c r="G17" s="3">
        <f t="shared" si="3"/>
        <v>53644.031999999992</v>
      </c>
      <c r="H17" s="3">
        <f t="shared" si="3"/>
        <v>59992.358399999997</v>
      </c>
      <c r="I17" s="3">
        <f t="shared" si="3"/>
        <v>69022.886400000003</v>
      </c>
      <c r="J17" s="3">
        <f t="shared" si="3"/>
        <v>81881.279999999999</v>
      </c>
      <c r="K17" s="3">
        <f t="shared" si="3"/>
        <v>88620.479999999996</v>
      </c>
    </row>
    <row r="18" spans="1:11" x14ac:dyDescent="0.25">
      <c r="A18" t="s">
        <v>66</v>
      </c>
      <c r="B18" s="11">
        <v>0.35</v>
      </c>
      <c r="C18" s="3">
        <f>C17*$B18</f>
        <v>12298.36608</v>
      </c>
      <c r="D18" s="3">
        <f t="shared" ref="D18:K18" si="4">D17*$B18</f>
        <v>13317.333119999998</v>
      </c>
      <c r="E18" s="3">
        <f t="shared" si="4"/>
        <v>14690.10816</v>
      </c>
      <c r="F18" s="3">
        <f t="shared" si="4"/>
        <v>16812.956159999998</v>
      </c>
      <c r="G18" s="3">
        <f t="shared" si="4"/>
        <v>18775.411199999995</v>
      </c>
      <c r="H18" s="3">
        <f t="shared" si="4"/>
        <v>20997.325439999997</v>
      </c>
      <c r="I18" s="3">
        <f t="shared" si="4"/>
        <v>24158.01024</v>
      </c>
      <c r="J18" s="3">
        <f t="shared" si="4"/>
        <v>28658.447999999997</v>
      </c>
      <c r="K18" s="3">
        <f t="shared" si="4"/>
        <v>31017.167999999998</v>
      </c>
    </row>
    <row r="19" spans="1:11" s="1" customFormat="1" x14ac:dyDescent="0.25">
      <c r="A19" s="1" t="s">
        <v>67</v>
      </c>
      <c r="C19" s="4">
        <f>SUM(C17:C18)</f>
        <v>47436.554880000003</v>
      </c>
      <c r="D19" s="4">
        <f t="shared" ref="D19:K19" si="5">SUM(D17:D18)</f>
        <v>51366.856319999992</v>
      </c>
      <c r="E19" s="4">
        <f t="shared" si="5"/>
        <v>56661.845759999997</v>
      </c>
      <c r="F19" s="4">
        <f t="shared" si="5"/>
        <v>64849.973759999993</v>
      </c>
      <c r="G19" s="4">
        <f t="shared" si="5"/>
        <v>72419.44319999998</v>
      </c>
      <c r="H19" s="4">
        <f t="shared" si="5"/>
        <v>80989.683839999998</v>
      </c>
      <c r="I19" s="4">
        <f t="shared" si="5"/>
        <v>93180.896640000006</v>
      </c>
      <c r="J19" s="4">
        <f t="shared" si="5"/>
        <v>110539.728</v>
      </c>
      <c r="K19" s="4">
        <f t="shared" si="5"/>
        <v>119637.64799999999</v>
      </c>
    </row>
    <row r="21" spans="1:11" x14ac:dyDescent="0.25">
      <c r="A21" t="s">
        <v>68</v>
      </c>
      <c r="B21" s="10"/>
      <c r="C21" s="3">
        <f>$B21</f>
        <v>0</v>
      </c>
      <c r="D21" s="3">
        <f t="shared" ref="D21:K21" si="6">$B21</f>
        <v>0</v>
      </c>
      <c r="E21" s="3">
        <f t="shared" si="6"/>
        <v>0</v>
      </c>
      <c r="F21" s="3">
        <f t="shared" si="6"/>
        <v>0</v>
      </c>
      <c r="G21" s="3">
        <f t="shared" si="6"/>
        <v>0</v>
      </c>
      <c r="H21" s="3">
        <f t="shared" si="6"/>
        <v>0</v>
      </c>
      <c r="I21" s="3">
        <f t="shared" si="6"/>
        <v>0</v>
      </c>
      <c r="J21" s="3">
        <f t="shared" si="6"/>
        <v>0</v>
      </c>
      <c r="K21" s="3">
        <f t="shared" si="6"/>
        <v>0</v>
      </c>
    </row>
    <row r="23" spans="1:11" s="1" customFormat="1" x14ac:dyDescent="0.25">
      <c r="A23" s="1" t="s">
        <v>69</v>
      </c>
      <c r="C23" s="4">
        <f>SUM(C19:C21)</f>
        <v>47436.554880000003</v>
      </c>
      <c r="D23" s="4">
        <f t="shared" ref="D23:K23" si="7">SUM(D19:D21)</f>
        <v>51366.856319999992</v>
      </c>
      <c r="E23" s="4">
        <f t="shared" si="7"/>
        <v>56661.845759999997</v>
      </c>
      <c r="F23" s="4">
        <f t="shared" si="7"/>
        <v>64849.973759999993</v>
      </c>
      <c r="G23" s="4">
        <f t="shared" si="7"/>
        <v>72419.44319999998</v>
      </c>
      <c r="H23" s="4">
        <f t="shared" si="7"/>
        <v>80989.683839999998</v>
      </c>
      <c r="I23" s="4">
        <f t="shared" si="7"/>
        <v>93180.896640000006</v>
      </c>
      <c r="J23" s="4">
        <f t="shared" si="7"/>
        <v>110539.728</v>
      </c>
      <c r="K23" s="4">
        <f t="shared" si="7"/>
        <v>119637.64799999999</v>
      </c>
    </row>
    <row r="25" spans="1:11" x14ac:dyDescent="0.25">
      <c r="A25" t="s">
        <v>21</v>
      </c>
      <c r="B25" s="8">
        <f>+C5</f>
        <v>1649</v>
      </c>
      <c r="C25" s="3">
        <f>C23/$B25</f>
        <v>28.766861661613103</v>
      </c>
      <c r="D25" s="3">
        <f t="shared" ref="D25:K25" si="8">D23/$B25</f>
        <v>31.150307046694962</v>
      </c>
      <c r="E25" s="3">
        <f t="shared" si="8"/>
        <v>34.361337634930258</v>
      </c>
      <c r="F25" s="3">
        <f t="shared" si="8"/>
        <v>39.326848853850812</v>
      </c>
      <c r="G25" s="3">
        <f t="shared" si="8"/>
        <v>43.917188114008475</v>
      </c>
      <c r="H25" s="3">
        <f t="shared" si="8"/>
        <v>49.114423189812008</v>
      </c>
      <c r="I25" s="3">
        <f t="shared" si="8"/>
        <v>56.507517671315952</v>
      </c>
      <c r="J25" s="3">
        <f t="shared" si="8"/>
        <v>67.034401455427528</v>
      </c>
      <c r="K25" s="3">
        <f t="shared" si="8"/>
        <v>72.551636143117037</v>
      </c>
    </row>
  </sheetData>
  <sheetProtection algorithmName="SHA-512" hashValue="7MetWzh7yttr6lPJTduUL2t4wPn0uf6cTCl0nxIXdWiRKNbEEMvztNJ72VI3B+gO5fb8pW0T6Os3cSmluXXRAg==" saltValue="xmmwE3zMy12gLxDKhj1zjg==" spinCount="100000" sheet="1" objects="1" scenarios="1"/>
  <pageMargins left="0.7" right="0.7" top="0.75" bottom="0.75" header="0.3" footer="0.3"/>
  <pageSetup paperSize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98431-C1B4-4673-914D-989226166E77}">
  <dimension ref="A1"/>
  <sheetViews>
    <sheetView workbookViewId="0">
      <selection activeCell="A2" sqref="A2"/>
    </sheetView>
  </sheetViews>
  <sheetFormatPr defaultRowHeight="15" x14ac:dyDescent="0.25"/>
  <sheetData>
    <row r="1" spans="1:1" x14ac:dyDescent="0.25">
      <c r="A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Overview</vt:lpstr>
      <vt:lpstr>Kosten</vt:lpstr>
      <vt:lpstr>Aannames</vt:lpstr>
      <vt:lpstr>Wachtwoord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 Zegeling</dc:creator>
  <cp:keywords/>
  <dc:description/>
  <cp:lastModifiedBy>Daniel Zegeling</cp:lastModifiedBy>
  <cp:revision/>
  <dcterms:created xsi:type="dcterms:W3CDTF">2023-09-21T09:05:49Z</dcterms:created>
  <dcterms:modified xsi:type="dcterms:W3CDTF">2024-03-14T13:30:46Z</dcterms:modified>
  <cp:category/>
  <cp:contentStatus/>
</cp:coreProperties>
</file>